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460" windowHeight="1395" tabRatio="728"/>
  </bookViews>
  <sheets>
    <sheet name="Шаблон ТЗ" sheetId="10" r:id="rId1"/>
  </sheets>
  <calcPr calcId="152511" refMode="R1C1"/>
</workbook>
</file>

<file path=xl/calcChain.xml><?xml version="1.0" encoding="utf-8"?>
<calcChain xmlns="http://schemas.openxmlformats.org/spreadsheetml/2006/main">
  <c r="K41" i="10" l="1"/>
  <c r="K42" i="10"/>
  <c r="N29" i="10" l="1"/>
  <c r="N24" i="10"/>
  <c r="N14" i="10"/>
  <c r="N11" i="10"/>
  <c r="M41" i="10" l="1"/>
  <c r="N41" i="10" s="1"/>
  <c r="L41" i="10"/>
  <c r="L42" i="10"/>
  <c r="M42" i="10"/>
  <c r="N42" i="10" s="1"/>
  <c r="J46" i="10"/>
  <c r="J47" i="10"/>
  <c r="J48" i="10"/>
  <c r="J49" i="10"/>
  <c r="J45" i="10"/>
  <c r="N61" i="10"/>
  <c r="N59" i="10"/>
  <c r="K47" i="10" l="1"/>
  <c r="M47" i="10" s="1"/>
  <c r="N47" i="10" s="1"/>
  <c r="K45" i="10"/>
  <c r="M45" i="10" s="1"/>
  <c r="N45" i="10" s="1"/>
  <c r="K46" i="10"/>
  <c r="M46" i="10" s="1"/>
  <c r="N46" i="10" s="1"/>
  <c r="K49" i="10"/>
  <c r="L49" i="10" s="1"/>
  <c r="K48" i="10"/>
  <c r="M48" i="10" s="1"/>
  <c r="N48" i="10" s="1"/>
  <c r="N62" i="10"/>
  <c r="G50" i="10"/>
  <c r="N31" i="10"/>
  <c r="N30" i="10"/>
  <c r="N20" i="10"/>
  <c r="N27" i="10"/>
  <c r="N28" i="10"/>
  <c r="N32" i="10"/>
  <c r="N21" i="10"/>
  <c r="N22" i="10"/>
  <c r="N23" i="10"/>
  <c r="N26" i="10"/>
  <c r="N12" i="10"/>
  <c r="N13" i="10"/>
  <c r="N15" i="10"/>
  <c r="N16" i="10"/>
  <c r="N17" i="10"/>
  <c r="N18" i="10"/>
  <c r="N19" i="10"/>
  <c r="L48" i="10" l="1"/>
  <c r="L45" i="10"/>
  <c r="L47" i="10"/>
  <c r="M49" i="10"/>
  <c r="N49" i="10" s="1"/>
  <c r="N50" i="10" s="1"/>
  <c r="L46" i="10"/>
  <c r="N64" i="10"/>
  <c r="N68" i="10" s="1"/>
  <c r="N33" i="10"/>
  <c r="G43" i="10"/>
  <c r="J39" i="10"/>
  <c r="K39" i="10" s="1"/>
  <c r="J40" i="10"/>
  <c r="K40" i="10" s="1"/>
  <c r="J38" i="10"/>
  <c r="K38" i="10" s="1"/>
  <c r="L38" i="10" l="1"/>
  <c r="M40" i="10"/>
  <c r="N40" i="10" s="1"/>
  <c r="M39" i="10"/>
  <c r="N39" i="10" s="1"/>
  <c r="M38" i="10" l="1"/>
  <c r="N38" i="10" s="1"/>
  <c r="N43" i="10" s="1"/>
  <c r="N55" i="10" s="1"/>
  <c r="L40" i="10"/>
  <c r="L39" i="10"/>
  <c r="N54" i="10" l="1"/>
  <c r="N52" i="10"/>
  <c r="N53" i="10"/>
  <c r="N56" i="10" l="1"/>
  <c r="N57" i="10" s="1"/>
  <c r="N69" i="10" s="1"/>
  <c r="N70" i="10" s="1"/>
  <c r="N71" i="10" l="1"/>
  <c r="N72" i="10" s="1"/>
  <c r="N73" i="10" s="1"/>
  <c r="N74" i="10" l="1"/>
</calcChain>
</file>

<file path=xl/sharedStrings.xml><?xml version="1.0" encoding="utf-8"?>
<sst xmlns="http://schemas.openxmlformats.org/spreadsheetml/2006/main" count="123" uniqueCount="121">
  <si>
    <t>Должность</t>
  </si>
  <si>
    <t>Дневная смена</t>
  </si>
  <si>
    <t>Ночная смена</t>
  </si>
  <si>
    <t>Взнос в ПФР 22%</t>
  </si>
  <si>
    <t>Взнос в ФСС 2,9%</t>
  </si>
  <si>
    <t>Взнос в ФФОМС 5,1%</t>
  </si>
  <si>
    <t>Обязат. соц. страхование от несчастного случая и проф.заболеваний 0,5%</t>
  </si>
  <si>
    <t>СУММА КОНТРАКТА В МЕСЯЦ без НДС, руб.</t>
  </si>
  <si>
    <t xml:space="preserve">Пылесос для сухой уборки </t>
  </si>
  <si>
    <t>Однодисковая размывочная машина (ротор)</t>
  </si>
  <si>
    <t>Травалаторная машина</t>
  </si>
  <si>
    <t>Пылеводосос</t>
  </si>
  <si>
    <t>Газонокосилка</t>
  </si>
  <si>
    <t>Триммер</t>
  </si>
  <si>
    <t>Аккумуляторная поломоечная машина (с комплектом аккумуляторов)</t>
  </si>
  <si>
    <t>Аккумуляторная поломоечная машина с местом для оператора (с комплектом аккумуляторов)</t>
  </si>
  <si>
    <t>Вид оборудования</t>
  </si>
  <si>
    <t>Производитель</t>
  </si>
  <si>
    <t>Модель</t>
  </si>
  <si>
    <t>Кол-во, ед.</t>
  </si>
  <si>
    <t>Проводная поломоечная машина</t>
  </si>
  <si>
    <t>Экстрактор ковровый</t>
  </si>
  <si>
    <t>Аппарат высокого давления</t>
  </si>
  <si>
    <t>Средняя цена ед. без НДС, руб.</t>
  </si>
  <si>
    <t>Снегоуборщик бензиновый</t>
  </si>
  <si>
    <t>График работы персонала</t>
  </si>
  <si>
    <t>Кол-во раб. дней</t>
  </si>
  <si>
    <t>Кол-во вых. дней</t>
  </si>
  <si>
    <t>Кол-во персонала</t>
  </si>
  <si>
    <t>В смену</t>
  </si>
  <si>
    <t>С учетом сменности</t>
  </si>
  <si>
    <t>Оплата труда</t>
  </si>
  <si>
    <t>Трактор в сборе с отвалом, ковшом и щеткой</t>
  </si>
  <si>
    <t>Итого дневная смена</t>
  </si>
  <si>
    <t>Итого ночная смена</t>
  </si>
  <si>
    <t xml:space="preserve">I. ОБОРУДОВАНИЕ, ИНВЕНТАРЬ , МБП </t>
  </si>
  <si>
    <t>Амортизируемая стоимость в мес. без НДС, руб.</t>
  </si>
  <si>
    <t>Оборудование и инвентарь для уборки внутренних помещений</t>
  </si>
  <si>
    <t>Оборудование и инвентарь для уборки прилегающей территории</t>
  </si>
  <si>
    <t>Инвентарь для сухой уборки</t>
  </si>
  <si>
    <t>Инвентарь для влажной уборки</t>
  </si>
  <si>
    <t>Спецодежда и СИЗ</t>
  </si>
  <si>
    <t xml:space="preserve">Тележка уборочная </t>
  </si>
  <si>
    <t>Тачка садовая</t>
  </si>
  <si>
    <t>Инвентарь для уборки прилегающей территории</t>
  </si>
  <si>
    <t>Оборудование клинерской (стеллажи для химии, стиральная машина для мопов, металлические шкафы для инвентаря и т.д.)</t>
  </si>
  <si>
    <t>ИТОГО АМОРТИЗАЦИЯ ОБОРУДОВАНИЯ И ИНВЕНТАРЯ БЕЗ НДС, РУБ. В МЕСЯЦ</t>
  </si>
  <si>
    <t>Продол-житель-ность смены, час</t>
  </si>
  <si>
    <t>МТЗ-82.1</t>
  </si>
  <si>
    <t>Срок аморти-зации, мес.</t>
  </si>
  <si>
    <t>II. ОПЛАТА ТРУДА ПЕРСОНАЛА</t>
  </si>
  <si>
    <t>III. МАТЕРИАЛЬНО-ТЕХНИЧЕСКИЕ РЕСУРСЫ</t>
  </si>
  <si>
    <t>Расходные материалы для санузлов, включенные в стоимость договора (туалетная бумага, бумажные полотенца, жидкое мыло, таблетки для писсуаров)</t>
  </si>
  <si>
    <t>Субподрядные работы, включенные в стоимость договора (смена ковровых покрытий, вывоз ТБО, дезинфекция, дезинсекция и т.д.) без НДС, руб./мес.</t>
  </si>
  <si>
    <t>IV. ПРОЧИЕ РАСХОДЫ</t>
  </si>
  <si>
    <t>Уровень сервиса (SLA) (1 - высокий; 0,5 - средний; 0 - низкий):</t>
  </si>
  <si>
    <t>Наименование объекта, адрес:</t>
  </si>
  <si>
    <r>
      <t xml:space="preserve">Расходы на обслуживание и ремонт оборудования </t>
    </r>
    <r>
      <rPr>
        <i/>
        <sz val="10"/>
        <rFont val="Times New Roman"/>
        <family val="1"/>
        <charset val="204"/>
      </rPr>
      <t>(25% от амортизации оборудования)</t>
    </r>
  </si>
  <si>
    <t>Площадь внутренних помещений, м2:</t>
  </si>
  <si>
    <t>Площадь прилегающей территории, м2:</t>
  </si>
  <si>
    <t>ИТОГО МАТЕРИАЛЬНО-ТЕХНИЧЕСКИЕ РЕСУРСЫ БЕЗ НДС, РУБ. В МЕСЯЦ</t>
  </si>
  <si>
    <r>
      <t>Химия и расходные материалы для производства работ без НДС</t>
    </r>
    <r>
      <rPr>
        <i/>
        <sz val="10"/>
        <rFont val="Times New Roman"/>
        <family val="1"/>
        <charset val="204"/>
      </rPr>
      <t>(1 руб./м2 при низком уровне SLA, 1,5 руб./м2 при среднем, 2 руб./м2 при высоком уровне SLA)</t>
    </r>
  </si>
  <si>
    <t>Страхование гражданской ответственности объекта без НДС, руб./мес.</t>
  </si>
  <si>
    <t>ИТОГО ПРОЧИЕ РАСХОДЫ БЕЗ НДС, РУБ. В МЕСЯЦ</t>
  </si>
  <si>
    <t>Время работы трактора в сутки при ежедневной работе трактора, ч/сутки:</t>
  </si>
  <si>
    <t>уборщик</t>
  </si>
  <si>
    <t>менеджер</t>
  </si>
  <si>
    <t>механизатор</t>
  </si>
  <si>
    <t>ГСМ (топливо, масла, тосол, антифриз и т.д.) (расчет исходя из расхода ГСМ 6 литров в час и стоимости топлива 40 руб./час)</t>
  </si>
  <si>
    <t>ФОТ  с учетом сменности, руб./мес.</t>
  </si>
  <si>
    <t>Тарифная ставка "на руки" (стоимость чел./час)</t>
  </si>
  <si>
    <t>Оклад "на руки"
(руб./ мес.)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</si>
  <si>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</si>
  <si>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</si>
  <si>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</si>
  <si>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</si>
  <si>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</si>
  <si>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</si>
  <si>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</si>
  <si>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</si>
  <si>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</si>
  <si>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</si>
  <si>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</si>
  <si>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</si>
  <si>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</si>
  <si>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</si>
  <si>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</si>
  <si>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</si>
  <si>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</si>
  <si>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</si>
  <si>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</si>
  <si>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</si>
  <si>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</si>
  <si>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</si>
  <si>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</si>
  <si>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</si>
  <si>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</si>
  <si>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</si>
  <si>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5.1.</t>
  </si>
  <si>
    <t>5.2.</t>
  </si>
  <si>
    <t>5.3.</t>
  </si>
  <si>
    <t>5.4.</t>
  </si>
  <si>
    <t>5.5.</t>
  </si>
  <si>
    <t>ИТОГО ЗАТРАТЫ БЕЗ НДС, РУБ. В МЕСЯЦ</t>
  </si>
  <si>
    <t>АДМИНИСТРАТИВНЫЕ РАСХОДЫ (15% от затрат), РУБ. В МЕСЯЦ</t>
  </si>
  <si>
    <t>ПОЛНАЯ СЕБЕСТОИМОСТЬ ОБЪЕКТА, РУБ. В МЕСЯЦ</t>
  </si>
  <si>
    <t>ПРИБЫЛЬ (5% от полной себестоимости), РУБ. В МЕСЯЦ</t>
  </si>
  <si>
    <t>ИТОГО ФОНД ОПЛАТЫ ТРУДА ПЕРСОНАЛА С УЧЕТОМ НАЛОГОВЫХ ОТЧИСЛЕНИЙ, РУБ. В МЕСЯЦ</t>
  </si>
  <si>
    <t>Итого начисления на ФОТ (Налоги)</t>
  </si>
  <si>
    <t>Начисления (Налоги) на ФОТ (30,5%), руб.</t>
  </si>
  <si>
    <t xml:space="preserve">Прочие расходы, руб./мес. </t>
  </si>
  <si>
    <t>4.5.</t>
  </si>
  <si>
    <r>
      <t>Заработная плата на одного сотрудника 
"на руки", руб./мес.</t>
    </r>
    <r>
      <rPr>
        <b/>
        <sz val="16"/>
        <rFont val="Times New Roman"/>
        <family val="1"/>
        <charset val="204"/>
      </rPr>
      <t>*</t>
    </r>
  </si>
  <si>
    <r>
      <t>Отпускные и больничные на одного сотрудника "на руки", руб./мес.</t>
    </r>
    <r>
      <rPr>
        <sz val="14"/>
        <rFont val="Times New Roman"/>
        <family val="1"/>
        <charset val="204"/>
      </rPr>
      <t>**</t>
    </r>
  </si>
  <si>
    <r>
      <t>НДФЛ на одного сотрудника, руб./ мес.</t>
    </r>
    <r>
      <rPr>
        <sz val="14"/>
        <rFont val="Times New Roman"/>
        <family val="1"/>
        <charset val="204"/>
      </rPr>
      <t>***</t>
    </r>
  </si>
  <si>
    <r>
      <t>ФОТ одного сотрудника, руб./мес.</t>
    </r>
    <r>
      <rPr>
        <sz val="14"/>
        <rFont val="Times New Roman"/>
        <family val="1"/>
        <charset val="204"/>
      </rPr>
      <t>****</t>
    </r>
  </si>
  <si>
    <t>* Сумма, выплачиваемая сотруднику "на руки" в виде заработной платы (рассчитывается исходя из тарифной ставки или оклада, в зависимости от принятой системы оплаты труда или должности)</t>
  </si>
  <si>
    <t>**Согласно ТК РФ сотрудникам оплачивается за счет работодателя ежегодный отпуск продолжительностью 28 календарных дней, а также компенсируются первые три дня отсуствия сотрудника по болезни</t>
  </si>
  <si>
    <t>(в период отсуствия сотрудника заказчику предоставляется замена). Больничные расходы заложены в размере 1,5% от заработной платы на руки</t>
  </si>
  <si>
    <t>***НДФЛ на одного сотрудника составляет 13% от ФОТ одного сотрудника. Поскольку расчет ведется от заработной платы "на руки", то для расчета НДФЛ использована обратная формула</t>
  </si>
  <si>
    <t>****ФОТ на одного сотрудника складывается из заработной платы "на руки", отпускных и больничных расходов и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</si>
</sst>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_ ;\-#,##0.00\ "/>
    <numFmt numFmtId="166" formatCode="_-* #,##0_р_._-;\-* #,##0_р_._-;_-* &quot;-&quot;??_р_._-;_-@_-"/>
    <numFmt numFmtId="167" formatCode="0.0%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4" borderId="9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/>
    <xf numFmtId="4" fontId="8" fillId="3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6" fontId="4" fillId="4" borderId="9" xfId="1" applyNumberFormat="1" applyFont="1" applyFill="1" applyBorder="1" applyAlignment="1">
      <alignment horizontal="center" wrapText="1"/>
    </xf>
    <xf numFmtId="166" fontId="4" fillId="4" borderId="9" xfId="1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7" fontId="4" fillId="0" borderId="0" xfId="3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3" fontId="4" fillId="4" borderId="12" xfId="0" applyNumberFormat="1" applyFont="1" applyFill="1" applyBorder="1" applyAlignment="1">
      <alignment horizontal="center" wrapText="1"/>
    </xf>
    <xf numFmtId="3" fontId="4" fillId="4" borderId="14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4">
    <cellStyle name="Excel Built-in Normal" xfId="2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79"/>
  <sheetViews>
    <sheetView tabSelected="1" workbookViewId="0">
      <selection activeCell="E86" sqref="E86"/>
    </sheetView>
  </sheetViews>
  <sheetFormatPr defaultRowHeight="12.75" x14ac:dyDescent="0.2"/>
  <cols>
    <col min="1" max="1" width="4" style="40" customWidth="1"/>
    <col min="2" max="2" width="22.7109375" style="4" customWidth="1"/>
    <col min="3" max="3" width="9.28515625" style="4" customWidth="1"/>
    <col min="4" max="4" width="7.28515625" style="4" customWidth="1"/>
    <col min="5" max="5" width="6.85546875" style="4" customWidth="1"/>
    <col min="6" max="7" width="9.28515625" style="4" customWidth="1"/>
    <col min="8" max="8" width="9.85546875" style="4" customWidth="1"/>
    <col min="9" max="9" width="10.140625" style="4" customWidth="1"/>
    <col min="10" max="10" width="13.85546875" style="4" customWidth="1"/>
    <col min="11" max="11" width="12.28515625" style="4" customWidth="1"/>
    <col min="12" max="12" width="11.85546875" style="4" customWidth="1"/>
    <col min="13" max="13" width="15.140625" style="4" customWidth="1"/>
    <col min="14" max="14" width="15.42578125" style="4" customWidth="1"/>
    <col min="15" max="15" width="13.5703125" style="4" customWidth="1"/>
    <col min="16" max="16" width="10.7109375" style="4" customWidth="1"/>
    <col min="17" max="20" width="9.140625" style="1"/>
  </cols>
  <sheetData>
    <row r="1" spans="1:20" ht="9.75" customHeight="1" thickBot="1" x14ac:dyDescent="0.25"/>
    <row r="2" spans="1:20" ht="13.5" thickBot="1" x14ac:dyDescent="0.25">
      <c r="B2" s="78" t="s">
        <v>56</v>
      </c>
      <c r="C2" s="78"/>
      <c r="D2" s="79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20" ht="4.5" customHeight="1" thickBot="1" x14ac:dyDescent="0.25"/>
    <row r="4" spans="1:20" ht="13.5" customHeight="1" thickBot="1" x14ac:dyDescent="0.25">
      <c r="B4" s="78" t="s">
        <v>58</v>
      </c>
      <c r="C4" s="78"/>
      <c r="D4" s="78"/>
      <c r="E4" s="51">
        <v>100000</v>
      </c>
      <c r="F4" s="52"/>
      <c r="G4" s="83" t="s">
        <v>55</v>
      </c>
      <c r="H4" s="84"/>
      <c r="I4" s="84"/>
      <c r="J4" s="84"/>
      <c r="K4" s="84"/>
      <c r="L4" s="85"/>
      <c r="M4" s="30">
        <v>1</v>
      </c>
    </row>
    <row r="5" spans="1:20" ht="7.5" customHeight="1" thickBot="1" x14ac:dyDescent="0.25">
      <c r="B5" s="22"/>
      <c r="C5" s="22"/>
      <c r="D5" s="22"/>
      <c r="E5" s="20"/>
      <c r="F5" s="20"/>
      <c r="G5" s="21"/>
      <c r="H5" s="21"/>
      <c r="I5" s="21"/>
      <c r="J5" s="21"/>
      <c r="K5" s="38"/>
      <c r="L5" s="21"/>
      <c r="M5" s="21"/>
      <c r="N5" s="20"/>
    </row>
    <row r="6" spans="1:20" ht="13.5" customHeight="1" thickBot="1" x14ac:dyDescent="0.25">
      <c r="B6" s="78" t="s">
        <v>59</v>
      </c>
      <c r="C6" s="78"/>
      <c r="D6" s="78"/>
      <c r="E6" s="51"/>
      <c r="F6" s="52"/>
      <c r="G6" s="37"/>
      <c r="H6" s="82" t="s">
        <v>64</v>
      </c>
      <c r="I6" s="82"/>
      <c r="J6" s="82"/>
      <c r="K6" s="82"/>
      <c r="L6" s="82"/>
      <c r="M6" s="82"/>
      <c r="N6" s="30">
        <v>8</v>
      </c>
    </row>
    <row r="7" spans="1:20" ht="9" customHeight="1" x14ac:dyDescent="0.2"/>
    <row r="8" spans="1:20" s="7" customFormat="1" x14ac:dyDescent="0.2">
      <c r="A8" s="41" t="s">
        <v>72</v>
      </c>
      <c r="B8" s="73" t="s">
        <v>35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6"/>
      <c r="P8" s="6"/>
      <c r="Q8" s="2"/>
      <c r="R8" s="2"/>
      <c r="S8" s="2"/>
      <c r="T8" s="2"/>
    </row>
    <row r="9" spans="1:20" ht="38.25" x14ac:dyDescent="0.2">
      <c r="B9" s="53" t="s">
        <v>16</v>
      </c>
      <c r="C9" s="53"/>
      <c r="D9" s="53"/>
      <c r="E9" s="53"/>
      <c r="F9" s="53"/>
      <c r="G9" s="53" t="s">
        <v>17</v>
      </c>
      <c r="H9" s="53"/>
      <c r="I9" s="53" t="s">
        <v>18</v>
      </c>
      <c r="J9" s="53"/>
      <c r="K9" s="3" t="s">
        <v>23</v>
      </c>
      <c r="L9" s="29" t="s">
        <v>19</v>
      </c>
      <c r="M9" s="3" t="s">
        <v>49</v>
      </c>
      <c r="N9" s="3" t="s">
        <v>36</v>
      </c>
    </row>
    <row r="10" spans="1:20" s="7" customFormat="1" ht="13.5" customHeight="1" x14ac:dyDescent="0.2">
      <c r="A10" s="41" t="s">
        <v>73</v>
      </c>
      <c r="B10" s="77" t="s">
        <v>37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6"/>
      <c r="P10" s="6"/>
      <c r="Q10" s="2"/>
      <c r="R10" s="2"/>
      <c r="S10" s="2"/>
      <c r="T10" s="2"/>
    </row>
    <row r="11" spans="1:20" ht="12.75" customHeight="1" x14ac:dyDescent="0.2">
      <c r="B11" s="76" t="s">
        <v>20</v>
      </c>
      <c r="C11" s="76"/>
      <c r="D11" s="76"/>
      <c r="E11" s="76"/>
      <c r="F11" s="76"/>
      <c r="G11" s="54"/>
      <c r="H11" s="54"/>
      <c r="I11" s="54"/>
      <c r="J11" s="54"/>
      <c r="K11" s="32">
        <v>340000</v>
      </c>
      <c r="L11" s="12">
        <v>1</v>
      </c>
      <c r="M11" s="5">
        <v>24</v>
      </c>
      <c r="N11" s="31">
        <f t="shared" ref="N11:N24" si="0">IF(L11=0,0,L11*K11/M11)</f>
        <v>14166.666666666666</v>
      </c>
    </row>
    <row r="12" spans="1:20" ht="26.25" customHeight="1" x14ac:dyDescent="0.2">
      <c r="B12" s="76" t="s">
        <v>14</v>
      </c>
      <c r="C12" s="76"/>
      <c r="D12" s="76"/>
      <c r="E12" s="76"/>
      <c r="F12" s="76"/>
      <c r="G12" s="54"/>
      <c r="H12" s="54"/>
      <c r="I12" s="54"/>
      <c r="J12" s="54"/>
      <c r="K12" s="32">
        <v>600000</v>
      </c>
      <c r="L12" s="12">
        <v>2</v>
      </c>
      <c r="M12" s="5">
        <v>24</v>
      </c>
      <c r="N12" s="31">
        <f t="shared" si="0"/>
        <v>50000</v>
      </c>
    </row>
    <row r="13" spans="1:20" ht="26.25" customHeight="1" x14ac:dyDescent="0.2">
      <c r="B13" s="76" t="s">
        <v>15</v>
      </c>
      <c r="C13" s="76"/>
      <c r="D13" s="76"/>
      <c r="E13" s="76"/>
      <c r="F13" s="76"/>
      <c r="G13" s="54"/>
      <c r="H13" s="54"/>
      <c r="I13" s="54"/>
      <c r="J13" s="54"/>
      <c r="K13" s="32">
        <v>940000</v>
      </c>
      <c r="L13" s="12">
        <v>1</v>
      </c>
      <c r="M13" s="5">
        <v>24</v>
      </c>
      <c r="N13" s="31">
        <f t="shared" si="0"/>
        <v>39166.666666666664</v>
      </c>
    </row>
    <row r="14" spans="1:20" x14ac:dyDescent="0.2">
      <c r="B14" s="76" t="s">
        <v>10</v>
      </c>
      <c r="C14" s="76"/>
      <c r="D14" s="76"/>
      <c r="E14" s="76"/>
      <c r="F14" s="76"/>
      <c r="G14" s="54"/>
      <c r="H14" s="54"/>
      <c r="I14" s="54"/>
      <c r="J14" s="54"/>
      <c r="K14" s="32">
        <v>610000</v>
      </c>
      <c r="L14" s="12">
        <v>1</v>
      </c>
      <c r="M14" s="5">
        <v>24</v>
      </c>
      <c r="N14" s="31">
        <f t="shared" si="0"/>
        <v>25416.666666666668</v>
      </c>
    </row>
    <row r="15" spans="1:20" x14ac:dyDescent="0.2">
      <c r="B15" s="76" t="s">
        <v>21</v>
      </c>
      <c r="C15" s="76"/>
      <c r="D15" s="76"/>
      <c r="E15" s="76"/>
      <c r="F15" s="76"/>
      <c r="G15" s="54"/>
      <c r="H15" s="54"/>
      <c r="I15" s="54"/>
      <c r="J15" s="54"/>
      <c r="K15" s="32">
        <v>210000</v>
      </c>
      <c r="L15" s="12">
        <v>1</v>
      </c>
      <c r="M15" s="5">
        <v>24</v>
      </c>
      <c r="N15" s="31">
        <f t="shared" si="0"/>
        <v>8750</v>
      </c>
    </row>
    <row r="16" spans="1:20" ht="12.75" customHeight="1" x14ac:dyDescent="0.2">
      <c r="B16" s="76" t="s">
        <v>9</v>
      </c>
      <c r="C16" s="76"/>
      <c r="D16" s="76"/>
      <c r="E16" s="76"/>
      <c r="F16" s="76"/>
      <c r="G16" s="54"/>
      <c r="H16" s="54"/>
      <c r="I16" s="54"/>
      <c r="J16" s="54"/>
      <c r="K16" s="32">
        <v>85000</v>
      </c>
      <c r="L16" s="12">
        <v>1</v>
      </c>
      <c r="M16" s="5">
        <v>24</v>
      </c>
      <c r="N16" s="31">
        <f t="shared" si="0"/>
        <v>3541.6666666666665</v>
      </c>
    </row>
    <row r="17" spans="1:20" ht="12.75" customHeight="1" x14ac:dyDescent="0.2">
      <c r="B17" s="76" t="s">
        <v>22</v>
      </c>
      <c r="C17" s="76"/>
      <c r="D17" s="76"/>
      <c r="E17" s="76"/>
      <c r="F17" s="76"/>
      <c r="G17" s="54"/>
      <c r="H17" s="54"/>
      <c r="I17" s="54"/>
      <c r="J17" s="54"/>
      <c r="K17" s="32">
        <v>50000</v>
      </c>
      <c r="L17" s="12">
        <v>1</v>
      </c>
      <c r="M17" s="5">
        <v>24</v>
      </c>
      <c r="N17" s="31">
        <f t="shared" si="0"/>
        <v>2083.3333333333335</v>
      </c>
    </row>
    <row r="18" spans="1:20" x14ac:dyDescent="0.2">
      <c r="B18" s="76" t="s">
        <v>11</v>
      </c>
      <c r="C18" s="76"/>
      <c r="D18" s="76"/>
      <c r="E18" s="76"/>
      <c r="F18" s="76"/>
      <c r="G18" s="54"/>
      <c r="H18" s="54"/>
      <c r="I18" s="54"/>
      <c r="J18" s="54"/>
      <c r="K18" s="32">
        <v>43000</v>
      </c>
      <c r="L18" s="12">
        <v>1</v>
      </c>
      <c r="M18" s="5">
        <v>24</v>
      </c>
      <c r="N18" s="31">
        <f t="shared" si="0"/>
        <v>1791.6666666666667</v>
      </c>
    </row>
    <row r="19" spans="1:20" x14ac:dyDescent="0.2">
      <c r="B19" s="76" t="s">
        <v>8</v>
      </c>
      <c r="C19" s="76"/>
      <c r="D19" s="76"/>
      <c r="E19" s="76"/>
      <c r="F19" s="76"/>
      <c r="G19" s="54"/>
      <c r="H19" s="54"/>
      <c r="I19" s="54"/>
      <c r="J19" s="54"/>
      <c r="K19" s="32">
        <v>17000</v>
      </c>
      <c r="L19" s="12">
        <v>1</v>
      </c>
      <c r="M19" s="5">
        <v>24</v>
      </c>
      <c r="N19" s="31">
        <f t="shared" si="0"/>
        <v>708.33333333333337</v>
      </c>
    </row>
    <row r="20" spans="1:20" x14ac:dyDescent="0.2">
      <c r="B20" s="76" t="s">
        <v>42</v>
      </c>
      <c r="C20" s="76"/>
      <c r="D20" s="76"/>
      <c r="E20" s="76"/>
      <c r="F20" s="76"/>
      <c r="G20" s="54"/>
      <c r="H20" s="54"/>
      <c r="I20" s="54"/>
      <c r="J20" s="54"/>
      <c r="K20" s="32">
        <v>5000</v>
      </c>
      <c r="L20" s="12">
        <v>15</v>
      </c>
      <c r="M20" s="5">
        <v>12</v>
      </c>
      <c r="N20" s="31">
        <f t="shared" si="0"/>
        <v>6250</v>
      </c>
    </row>
    <row r="21" spans="1:20" ht="12.75" customHeight="1" x14ac:dyDescent="0.2">
      <c r="B21" s="76" t="s">
        <v>39</v>
      </c>
      <c r="C21" s="76"/>
      <c r="D21" s="76"/>
      <c r="E21" s="76"/>
      <c r="F21" s="76"/>
      <c r="G21" s="54"/>
      <c r="H21" s="54"/>
      <c r="I21" s="54"/>
      <c r="J21" s="54"/>
      <c r="K21" s="32">
        <v>3000</v>
      </c>
      <c r="L21" s="12">
        <v>15</v>
      </c>
      <c r="M21" s="5">
        <v>6</v>
      </c>
      <c r="N21" s="31">
        <f t="shared" si="0"/>
        <v>7500</v>
      </c>
    </row>
    <row r="22" spans="1:20" ht="12.75" customHeight="1" x14ac:dyDescent="0.2">
      <c r="B22" s="76" t="s">
        <v>40</v>
      </c>
      <c r="C22" s="76"/>
      <c r="D22" s="76"/>
      <c r="E22" s="76"/>
      <c r="F22" s="76"/>
      <c r="G22" s="54"/>
      <c r="H22" s="54"/>
      <c r="I22" s="54"/>
      <c r="J22" s="54"/>
      <c r="K22" s="32">
        <v>3000</v>
      </c>
      <c r="L22" s="12">
        <v>15</v>
      </c>
      <c r="M22" s="5">
        <v>6</v>
      </c>
      <c r="N22" s="31">
        <f t="shared" si="0"/>
        <v>7500</v>
      </c>
    </row>
    <row r="23" spans="1:20" s="10" customFormat="1" x14ac:dyDescent="0.2">
      <c r="A23" s="40"/>
      <c r="B23" s="76" t="s">
        <v>41</v>
      </c>
      <c r="C23" s="76"/>
      <c r="D23" s="76"/>
      <c r="E23" s="76"/>
      <c r="F23" s="76"/>
      <c r="G23" s="54"/>
      <c r="H23" s="54"/>
      <c r="I23" s="54"/>
      <c r="J23" s="54"/>
      <c r="K23" s="32">
        <v>1500</v>
      </c>
      <c r="L23" s="12">
        <v>19</v>
      </c>
      <c r="M23" s="5">
        <v>6</v>
      </c>
      <c r="N23" s="31">
        <f t="shared" si="0"/>
        <v>4750</v>
      </c>
      <c r="O23" s="4"/>
      <c r="P23" s="4"/>
      <c r="Q23" s="1"/>
      <c r="R23" s="1"/>
      <c r="S23" s="1"/>
      <c r="T23" s="1"/>
    </row>
    <row r="24" spans="1:20" ht="27" customHeight="1" x14ac:dyDescent="0.2">
      <c r="B24" s="76" t="s">
        <v>45</v>
      </c>
      <c r="C24" s="76"/>
      <c r="D24" s="76"/>
      <c r="E24" s="76"/>
      <c r="F24" s="76"/>
      <c r="G24" s="54"/>
      <c r="H24" s="54"/>
      <c r="I24" s="54"/>
      <c r="J24" s="54"/>
      <c r="K24" s="32">
        <v>30000</v>
      </c>
      <c r="L24" s="12">
        <v>1</v>
      </c>
      <c r="M24" s="5">
        <v>12</v>
      </c>
      <c r="N24" s="31">
        <f t="shared" si="0"/>
        <v>2500</v>
      </c>
    </row>
    <row r="25" spans="1:20" s="7" customFormat="1" ht="13.5" customHeight="1" x14ac:dyDescent="0.2">
      <c r="A25" s="41" t="s">
        <v>74</v>
      </c>
      <c r="B25" s="77" t="s">
        <v>38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"/>
      <c r="P25" s="6"/>
      <c r="Q25" s="2"/>
      <c r="R25" s="2"/>
      <c r="S25" s="2"/>
      <c r="T25" s="2"/>
    </row>
    <row r="26" spans="1:20" ht="12.75" customHeight="1" x14ac:dyDescent="0.2">
      <c r="B26" s="57" t="s">
        <v>32</v>
      </c>
      <c r="C26" s="57"/>
      <c r="D26" s="57"/>
      <c r="E26" s="57"/>
      <c r="F26" s="57"/>
      <c r="G26" s="54"/>
      <c r="H26" s="54"/>
      <c r="I26" s="54" t="s">
        <v>48</v>
      </c>
      <c r="J26" s="54"/>
      <c r="K26" s="33">
        <v>1300000</v>
      </c>
      <c r="L26" s="12">
        <v>1</v>
      </c>
      <c r="M26" s="8">
        <v>36</v>
      </c>
      <c r="N26" s="31">
        <f t="shared" ref="N26:N32" si="1">IF(L26=0,0,L26*K26/M26)</f>
        <v>36111.111111111109</v>
      </c>
    </row>
    <row r="27" spans="1:20" x14ac:dyDescent="0.2">
      <c r="B27" s="57" t="s">
        <v>12</v>
      </c>
      <c r="C27" s="57"/>
      <c r="D27" s="57"/>
      <c r="E27" s="57"/>
      <c r="F27" s="57"/>
      <c r="G27" s="54"/>
      <c r="H27" s="54"/>
      <c r="I27" s="54"/>
      <c r="J27" s="54"/>
      <c r="K27" s="32">
        <v>34000</v>
      </c>
      <c r="L27" s="12">
        <v>1</v>
      </c>
      <c r="M27" s="5">
        <v>24</v>
      </c>
      <c r="N27" s="31">
        <f t="shared" si="1"/>
        <v>1416.6666666666667</v>
      </c>
    </row>
    <row r="28" spans="1:20" x14ac:dyDescent="0.2">
      <c r="B28" s="57" t="s">
        <v>13</v>
      </c>
      <c r="C28" s="57"/>
      <c r="D28" s="57"/>
      <c r="E28" s="57"/>
      <c r="F28" s="57"/>
      <c r="G28" s="54"/>
      <c r="H28" s="54"/>
      <c r="I28" s="54"/>
      <c r="J28" s="54"/>
      <c r="K28" s="32">
        <v>25000</v>
      </c>
      <c r="L28" s="12">
        <v>1</v>
      </c>
      <c r="M28" s="5">
        <v>24</v>
      </c>
      <c r="N28" s="31">
        <f t="shared" si="1"/>
        <v>1041.6666666666667</v>
      </c>
    </row>
    <row r="29" spans="1:20" ht="12.75" customHeight="1" x14ac:dyDescent="0.2">
      <c r="B29" s="57" t="s">
        <v>24</v>
      </c>
      <c r="C29" s="57"/>
      <c r="D29" s="57"/>
      <c r="E29" s="57"/>
      <c r="F29" s="57"/>
      <c r="G29" s="54"/>
      <c r="H29" s="54"/>
      <c r="I29" s="54"/>
      <c r="J29" s="54"/>
      <c r="K29" s="32">
        <v>27000</v>
      </c>
      <c r="L29" s="12">
        <v>1</v>
      </c>
      <c r="M29" s="5">
        <v>24</v>
      </c>
      <c r="N29" s="31">
        <f t="shared" si="1"/>
        <v>1125</v>
      </c>
    </row>
    <row r="30" spans="1:20" x14ac:dyDescent="0.2">
      <c r="B30" s="57" t="s">
        <v>43</v>
      </c>
      <c r="C30" s="57"/>
      <c r="D30" s="57"/>
      <c r="E30" s="57"/>
      <c r="F30" s="57"/>
      <c r="G30" s="54"/>
      <c r="H30" s="54"/>
      <c r="I30" s="54"/>
      <c r="J30" s="54"/>
      <c r="K30" s="32">
        <v>2500</v>
      </c>
      <c r="L30" s="12">
        <v>6</v>
      </c>
      <c r="M30" s="5">
        <v>12</v>
      </c>
      <c r="N30" s="31">
        <f t="shared" si="1"/>
        <v>1250</v>
      </c>
    </row>
    <row r="31" spans="1:20" ht="12.75" customHeight="1" x14ac:dyDescent="0.2">
      <c r="B31" s="57" t="s">
        <v>44</v>
      </c>
      <c r="C31" s="57"/>
      <c r="D31" s="57"/>
      <c r="E31" s="57"/>
      <c r="F31" s="57"/>
      <c r="G31" s="54"/>
      <c r="H31" s="54"/>
      <c r="I31" s="54"/>
      <c r="J31" s="54"/>
      <c r="K31" s="32">
        <v>3000</v>
      </c>
      <c r="L31" s="12">
        <v>6</v>
      </c>
      <c r="M31" s="5">
        <v>6</v>
      </c>
      <c r="N31" s="31">
        <f t="shared" si="1"/>
        <v>3000</v>
      </c>
    </row>
    <row r="32" spans="1:20" s="10" customFormat="1" x14ac:dyDescent="0.2">
      <c r="A32" s="40"/>
      <c r="B32" s="57" t="s">
        <v>41</v>
      </c>
      <c r="C32" s="57"/>
      <c r="D32" s="57"/>
      <c r="E32" s="57"/>
      <c r="F32" s="57"/>
      <c r="G32" s="54"/>
      <c r="H32" s="54"/>
      <c r="I32" s="54"/>
      <c r="J32" s="54"/>
      <c r="K32" s="32">
        <v>2500</v>
      </c>
      <c r="L32" s="12">
        <v>9</v>
      </c>
      <c r="M32" s="5">
        <v>6</v>
      </c>
      <c r="N32" s="31">
        <f t="shared" si="1"/>
        <v>3750</v>
      </c>
      <c r="O32" s="4"/>
      <c r="P32" s="4"/>
      <c r="Q32" s="1"/>
      <c r="R32" s="1"/>
      <c r="S32" s="1"/>
      <c r="T32" s="1"/>
    </row>
    <row r="33" spans="1:20" s="7" customFormat="1" ht="12.75" customHeight="1" x14ac:dyDescent="0.2">
      <c r="A33" s="41" t="s">
        <v>75</v>
      </c>
      <c r="B33" s="48" t="s">
        <v>46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9">
        <f>SUM(N11:N24)+SUM(N26:N32)</f>
        <v>221819.44444444444</v>
      </c>
      <c r="O33" s="6"/>
      <c r="P33" s="6"/>
      <c r="Q33" s="2"/>
      <c r="R33" s="2"/>
      <c r="S33" s="2"/>
      <c r="T33" s="2"/>
    </row>
    <row r="34" spans="1:20" s="7" customFormat="1" x14ac:dyDescent="0.2">
      <c r="A34" s="41" t="s">
        <v>76</v>
      </c>
      <c r="B34" s="73" t="s">
        <v>50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6"/>
      <c r="P34" s="6"/>
      <c r="Q34" s="2"/>
      <c r="R34" s="2"/>
      <c r="S34" s="2"/>
      <c r="T34" s="2"/>
    </row>
    <row r="35" spans="1:20" ht="25.5" customHeight="1" x14ac:dyDescent="0.2">
      <c r="B35" s="60" t="s">
        <v>0</v>
      </c>
      <c r="C35" s="60" t="s">
        <v>47</v>
      </c>
      <c r="D35" s="74" t="s">
        <v>25</v>
      </c>
      <c r="E35" s="75"/>
      <c r="F35" s="74" t="s">
        <v>28</v>
      </c>
      <c r="G35" s="75"/>
      <c r="H35" s="74" t="s">
        <v>31</v>
      </c>
      <c r="I35" s="75"/>
      <c r="J35" s="60" t="s">
        <v>112</v>
      </c>
      <c r="K35" s="60" t="s">
        <v>113</v>
      </c>
      <c r="L35" s="60" t="s">
        <v>114</v>
      </c>
      <c r="M35" s="60" t="s">
        <v>115</v>
      </c>
      <c r="N35" s="60" t="s">
        <v>69</v>
      </c>
    </row>
    <row r="36" spans="1:20" ht="63.75" x14ac:dyDescent="0.2">
      <c r="B36" s="60"/>
      <c r="C36" s="60"/>
      <c r="D36" s="8" t="s">
        <v>26</v>
      </c>
      <c r="E36" s="8" t="s">
        <v>27</v>
      </c>
      <c r="F36" s="8" t="s">
        <v>29</v>
      </c>
      <c r="G36" s="8" t="s">
        <v>30</v>
      </c>
      <c r="H36" s="8" t="s">
        <v>70</v>
      </c>
      <c r="I36" s="8" t="s">
        <v>71</v>
      </c>
      <c r="J36" s="60"/>
      <c r="K36" s="60"/>
      <c r="L36" s="60"/>
      <c r="M36" s="60"/>
      <c r="N36" s="60"/>
    </row>
    <row r="37" spans="1:20" ht="13.5" x14ac:dyDescent="0.2">
      <c r="A37" s="40" t="s">
        <v>77</v>
      </c>
      <c r="B37" s="61" t="s">
        <v>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20" x14ac:dyDescent="0.2">
      <c r="B38" s="15" t="s">
        <v>65</v>
      </c>
      <c r="C38" s="12">
        <v>12</v>
      </c>
      <c r="D38" s="12">
        <v>5</v>
      </c>
      <c r="E38" s="12">
        <v>2</v>
      </c>
      <c r="F38" s="12">
        <v>15</v>
      </c>
      <c r="G38" s="12">
        <v>15</v>
      </c>
      <c r="H38" s="12">
        <v>100</v>
      </c>
      <c r="I38" s="13"/>
      <c r="J38" s="9">
        <f>IF((D38+E38)=0,0,30.5*(D38/(D38+E38))*C38*H38)+I38</f>
        <v>26142.857142857145</v>
      </c>
      <c r="K38" s="9">
        <f>J38/12*1.015</f>
        <v>2211.25</v>
      </c>
      <c r="L38" s="9">
        <f>(J38+K38)/87*13</f>
        <v>4236.8206075533662</v>
      </c>
      <c r="M38" s="9">
        <f>(J38+K38)/0.87</f>
        <v>32590.927750410512</v>
      </c>
      <c r="N38" s="16">
        <f>M38*G38</f>
        <v>488863.91625615768</v>
      </c>
    </row>
    <row r="39" spans="1:20" x14ac:dyDescent="0.2">
      <c r="B39" s="15" t="s">
        <v>66</v>
      </c>
      <c r="C39" s="12">
        <v>8</v>
      </c>
      <c r="D39" s="12">
        <v>5</v>
      </c>
      <c r="E39" s="12">
        <v>2</v>
      </c>
      <c r="F39" s="12">
        <v>1</v>
      </c>
      <c r="G39" s="12">
        <v>1</v>
      </c>
      <c r="H39" s="12"/>
      <c r="I39" s="13">
        <v>40000</v>
      </c>
      <c r="J39" s="9">
        <f>IF((D39+E39)=0,0,30.5*(D39/(D39+E39))*C39*H39)+I39</f>
        <v>40000</v>
      </c>
      <c r="K39" s="9">
        <f t="shared" ref="K39:K42" si="2">J39/12*1.015</f>
        <v>3383.333333333333</v>
      </c>
      <c r="L39" s="9">
        <f t="shared" ref="L39:L42" si="3">(J39+K39)/87*13</f>
        <v>6482.5670498084291</v>
      </c>
      <c r="M39" s="9">
        <f t="shared" ref="M39:M42" si="4">(J39+K39)/0.87</f>
        <v>49865.900383141765</v>
      </c>
      <c r="N39" s="16">
        <f t="shared" ref="N39:N42" si="5">M39*G39</f>
        <v>49865.900383141765</v>
      </c>
    </row>
    <row r="40" spans="1:20" x14ac:dyDescent="0.2">
      <c r="B40" s="15" t="s">
        <v>67</v>
      </c>
      <c r="C40" s="12">
        <v>12</v>
      </c>
      <c r="D40" s="12">
        <v>2</v>
      </c>
      <c r="E40" s="12">
        <v>2</v>
      </c>
      <c r="F40" s="12">
        <v>1</v>
      </c>
      <c r="G40" s="12">
        <v>2</v>
      </c>
      <c r="H40" s="12">
        <v>200</v>
      </c>
      <c r="I40" s="13">
        <v>5000</v>
      </c>
      <c r="J40" s="9">
        <f>IF((D40+E40)=0,0,30.5*(D40/(D40+E40))*C40*H40)+I40</f>
        <v>41600</v>
      </c>
      <c r="K40" s="9">
        <f t="shared" si="2"/>
        <v>3518.6666666666661</v>
      </c>
      <c r="L40" s="9">
        <f t="shared" si="3"/>
        <v>6741.8697318007662</v>
      </c>
      <c r="M40" s="9">
        <f t="shared" si="4"/>
        <v>51860.536398467433</v>
      </c>
      <c r="N40" s="16">
        <f t="shared" si="5"/>
        <v>103721.07279693487</v>
      </c>
    </row>
    <row r="41" spans="1:20" x14ac:dyDescent="0.2">
      <c r="B41" s="15"/>
      <c r="C41" s="12"/>
      <c r="D41" s="12"/>
      <c r="E41" s="12"/>
      <c r="F41" s="12"/>
      <c r="G41" s="12"/>
      <c r="H41" s="12"/>
      <c r="I41" s="13"/>
      <c r="J41" s="9"/>
      <c r="K41" s="9">
        <f t="shared" si="2"/>
        <v>0</v>
      </c>
      <c r="L41" s="9">
        <f t="shared" si="3"/>
        <v>0</v>
      </c>
      <c r="M41" s="9">
        <f t="shared" si="4"/>
        <v>0</v>
      </c>
      <c r="N41" s="16">
        <f t="shared" si="5"/>
        <v>0</v>
      </c>
    </row>
    <row r="42" spans="1:20" ht="13.5" thickBot="1" x14ac:dyDescent="0.25">
      <c r="B42" s="15"/>
      <c r="C42" s="12"/>
      <c r="D42" s="12"/>
      <c r="E42" s="12"/>
      <c r="F42" s="12"/>
      <c r="G42" s="14"/>
      <c r="H42" s="12"/>
      <c r="I42" s="13"/>
      <c r="J42" s="9"/>
      <c r="K42" s="9">
        <f t="shared" si="2"/>
        <v>0</v>
      </c>
      <c r="L42" s="9">
        <f t="shared" si="3"/>
        <v>0</v>
      </c>
      <c r="M42" s="9">
        <f t="shared" si="4"/>
        <v>0</v>
      </c>
      <c r="N42" s="16">
        <f t="shared" si="5"/>
        <v>0</v>
      </c>
    </row>
    <row r="43" spans="1:20" s="7" customFormat="1" ht="14.25" thickBot="1" x14ac:dyDescent="0.25">
      <c r="A43" s="41" t="s">
        <v>78</v>
      </c>
      <c r="B43" s="69" t="s">
        <v>33</v>
      </c>
      <c r="C43" s="70"/>
      <c r="D43" s="70"/>
      <c r="E43" s="70"/>
      <c r="F43" s="71"/>
      <c r="G43" s="17">
        <f>SUM(G38:G42)</f>
        <v>18</v>
      </c>
      <c r="H43" s="58"/>
      <c r="I43" s="59"/>
      <c r="J43" s="59"/>
      <c r="K43" s="59"/>
      <c r="L43" s="59"/>
      <c r="M43" s="59"/>
      <c r="N43" s="18">
        <f>SUM(N38:N42)</f>
        <v>642450.88943623437</v>
      </c>
      <c r="O43" s="6"/>
      <c r="P43" s="6"/>
      <c r="Q43" s="2"/>
      <c r="R43" s="2"/>
      <c r="S43" s="2"/>
      <c r="T43" s="2"/>
    </row>
    <row r="44" spans="1:20" ht="13.5" x14ac:dyDescent="0.2">
      <c r="A44" s="40" t="s">
        <v>79</v>
      </c>
      <c r="B44" s="61" t="s">
        <v>2</v>
      </c>
      <c r="C44" s="61"/>
      <c r="D44" s="61"/>
      <c r="E44" s="61"/>
      <c r="F44" s="61"/>
      <c r="G44" s="72"/>
      <c r="H44" s="61"/>
      <c r="I44" s="61"/>
      <c r="J44" s="61"/>
      <c r="K44" s="61"/>
      <c r="L44" s="61"/>
      <c r="M44" s="61"/>
      <c r="N44" s="72"/>
    </row>
    <row r="45" spans="1:20" x14ac:dyDescent="0.2">
      <c r="B45" s="11" t="s">
        <v>65</v>
      </c>
      <c r="C45" s="12">
        <v>4</v>
      </c>
      <c r="D45" s="12">
        <v>5</v>
      </c>
      <c r="E45" s="12">
        <v>2</v>
      </c>
      <c r="F45" s="12">
        <v>10</v>
      </c>
      <c r="G45" s="12">
        <v>10</v>
      </c>
      <c r="H45" s="12">
        <v>120</v>
      </c>
      <c r="I45" s="12"/>
      <c r="J45" s="9">
        <f>IF((D45+E45)=0,0,30.5*(D45/(D45+E45))*C45*H45)+I45</f>
        <v>10457.142857142857</v>
      </c>
      <c r="K45" s="9">
        <f t="shared" ref="K45:K49" si="6">J45/12</f>
        <v>871.42857142857144</v>
      </c>
      <c r="L45" s="9">
        <f t="shared" ref="L45:L49" si="7">(J45+K45)/87*13</f>
        <v>1692.7750410509029</v>
      </c>
      <c r="M45" s="9">
        <f t="shared" ref="M45:M49" si="8">(J45+K45)/0.87</f>
        <v>13021.346469622331</v>
      </c>
      <c r="N45" s="16">
        <f t="shared" ref="N45:N49" si="9">M45*G45</f>
        <v>130213.46469622331</v>
      </c>
    </row>
    <row r="46" spans="1:20" x14ac:dyDescent="0.2">
      <c r="B46" s="11"/>
      <c r="C46" s="12"/>
      <c r="D46" s="12"/>
      <c r="E46" s="12"/>
      <c r="F46" s="12"/>
      <c r="G46" s="12"/>
      <c r="H46" s="12"/>
      <c r="I46" s="12"/>
      <c r="J46" s="9">
        <f t="shared" ref="J46:J49" si="10">IF((D46+E46)=0,0,30.5*(D46/(D46+E46))*C46*H46)+I46</f>
        <v>0</v>
      </c>
      <c r="K46" s="9">
        <f t="shared" si="6"/>
        <v>0</v>
      </c>
      <c r="L46" s="9">
        <f t="shared" si="7"/>
        <v>0</v>
      </c>
      <c r="M46" s="9">
        <f t="shared" si="8"/>
        <v>0</v>
      </c>
      <c r="N46" s="16">
        <f t="shared" si="9"/>
        <v>0</v>
      </c>
    </row>
    <row r="47" spans="1:20" x14ac:dyDescent="0.2">
      <c r="B47" s="11"/>
      <c r="C47" s="12"/>
      <c r="D47" s="12"/>
      <c r="E47" s="12"/>
      <c r="F47" s="12"/>
      <c r="G47" s="12"/>
      <c r="H47" s="12"/>
      <c r="I47" s="12"/>
      <c r="J47" s="9">
        <f t="shared" si="10"/>
        <v>0</v>
      </c>
      <c r="K47" s="9">
        <f t="shared" si="6"/>
        <v>0</v>
      </c>
      <c r="L47" s="9">
        <f t="shared" si="7"/>
        <v>0</v>
      </c>
      <c r="M47" s="9">
        <f t="shared" si="8"/>
        <v>0</v>
      </c>
      <c r="N47" s="16">
        <f t="shared" si="9"/>
        <v>0</v>
      </c>
    </row>
    <row r="48" spans="1:20" x14ac:dyDescent="0.2">
      <c r="B48" s="11"/>
      <c r="C48" s="12"/>
      <c r="D48" s="12"/>
      <c r="E48" s="12"/>
      <c r="F48" s="12"/>
      <c r="G48" s="12"/>
      <c r="H48" s="12"/>
      <c r="I48" s="12"/>
      <c r="J48" s="9">
        <f t="shared" si="10"/>
        <v>0</v>
      </c>
      <c r="K48" s="9">
        <f t="shared" si="6"/>
        <v>0</v>
      </c>
      <c r="L48" s="9">
        <f t="shared" si="7"/>
        <v>0</v>
      </c>
      <c r="M48" s="9">
        <f t="shared" si="8"/>
        <v>0</v>
      </c>
      <c r="N48" s="16">
        <f t="shared" si="9"/>
        <v>0</v>
      </c>
    </row>
    <row r="49" spans="1:20" ht="13.5" thickBot="1" x14ac:dyDescent="0.25">
      <c r="B49" s="11"/>
      <c r="C49" s="12"/>
      <c r="D49" s="12"/>
      <c r="E49" s="12"/>
      <c r="F49" s="12"/>
      <c r="G49" s="12"/>
      <c r="H49" s="12"/>
      <c r="I49" s="12"/>
      <c r="J49" s="9">
        <f t="shared" si="10"/>
        <v>0</v>
      </c>
      <c r="K49" s="9">
        <f t="shared" si="6"/>
        <v>0</v>
      </c>
      <c r="L49" s="9">
        <f t="shared" si="7"/>
        <v>0</v>
      </c>
      <c r="M49" s="9">
        <f t="shared" si="8"/>
        <v>0</v>
      </c>
      <c r="N49" s="16">
        <f t="shared" si="9"/>
        <v>0</v>
      </c>
    </row>
    <row r="50" spans="1:20" ht="14.25" thickBot="1" x14ac:dyDescent="0.25">
      <c r="A50" s="40" t="s">
        <v>80</v>
      </c>
      <c r="B50" s="69" t="s">
        <v>34</v>
      </c>
      <c r="C50" s="70"/>
      <c r="D50" s="70"/>
      <c r="E50" s="70"/>
      <c r="F50" s="71"/>
      <c r="G50" s="17">
        <f>SUM(G45:G49)</f>
        <v>10</v>
      </c>
      <c r="H50" s="90"/>
      <c r="I50" s="91"/>
      <c r="J50" s="91"/>
      <c r="K50" s="91"/>
      <c r="L50" s="91"/>
      <c r="M50" s="91"/>
      <c r="N50" s="18">
        <f>SUM(N45:N49)</f>
        <v>130213.46469622331</v>
      </c>
    </row>
    <row r="51" spans="1:20" ht="12.75" customHeight="1" x14ac:dyDescent="0.2">
      <c r="A51" s="40" t="s">
        <v>81</v>
      </c>
      <c r="B51" s="64" t="s">
        <v>109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</row>
    <row r="52" spans="1:20" x14ac:dyDescent="0.2">
      <c r="A52" s="40" t="s">
        <v>82</v>
      </c>
      <c r="B52" s="67" t="s">
        <v>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9">
        <f>(N43+N50)*0.22</f>
        <v>169986.15790914069</v>
      </c>
    </row>
    <row r="53" spans="1:20" x14ac:dyDescent="0.2">
      <c r="A53" s="40" t="s">
        <v>83</v>
      </c>
      <c r="B53" s="67" t="s">
        <v>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9">
        <f>(N43+N50)*0.051</f>
        <v>39405.882060755335</v>
      </c>
    </row>
    <row r="54" spans="1:20" x14ac:dyDescent="0.2">
      <c r="A54" s="40" t="s">
        <v>84</v>
      </c>
      <c r="B54" s="67" t="s">
        <v>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9">
        <f>(N43+N50)*0.029</f>
        <v>22407.266269841271</v>
      </c>
    </row>
    <row r="55" spans="1:20" ht="13.5" thickBot="1" x14ac:dyDescent="0.25">
      <c r="A55" s="40" t="s">
        <v>85</v>
      </c>
      <c r="B55" s="67" t="s">
        <v>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9">
        <f>(N50+N43)*0.005</f>
        <v>3863.3217706622881</v>
      </c>
    </row>
    <row r="56" spans="1:20" ht="14.25" thickBot="1" x14ac:dyDescent="0.3">
      <c r="A56" s="40" t="s">
        <v>86</v>
      </c>
      <c r="B56" s="46" t="s">
        <v>108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8">
        <f>SUM(N52:N55)</f>
        <v>235662.62801039958</v>
      </c>
    </row>
    <row r="57" spans="1:20" s="7" customFormat="1" ht="12.75" customHeight="1" x14ac:dyDescent="0.2">
      <c r="A57" s="41" t="s">
        <v>87</v>
      </c>
      <c r="B57" s="48" t="s">
        <v>107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9">
        <f>N43+N50+N56</f>
        <v>1008326.9821428573</v>
      </c>
      <c r="O57" s="6"/>
      <c r="P57" s="6"/>
      <c r="Q57" s="2"/>
      <c r="R57" s="2"/>
      <c r="S57" s="2"/>
      <c r="T57" s="2"/>
    </row>
    <row r="58" spans="1:20" s="7" customFormat="1" x14ac:dyDescent="0.2">
      <c r="A58" s="41" t="s">
        <v>88</v>
      </c>
      <c r="B58" s="44" t="s">
        <v>51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50"/>
      <c r="O58" s="6"/>
      <c r="P58" s="6"/>
      <c r="Q58" s="2"/>
      <c r="R58" s="2"/>
      <c r="S58" s="2"/>
      <c r="T58" s="2"/>
    </row>
    <row r="59" spans="1:20" ht="12.75" customHeight="1" x14ac:dyDescent="0.2">
      <c r="A59" s="40" t="s">
        <v>89</v>
      </c>
      <c r="B59" s="55" t="s">
        <v>61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35">
        <f>IF(M4=1,2*E4,IF(M4=0.5,1.5*E4,E4*1))</f>
        <v>200000</v>
      </c>
    </row>
    <row r="60" spans="1:20" ht="12.75" customHeight="1" x14ac:dyDescent="0.2">
      <c r="A60" s="40" t="s">
        <v>90</v>
      </c>
      <c r="B60" s="55" t="s">
        <v>52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36"/>
    </row>
    <row r="61" spans="1:20" ht="12.75" customHeight="1" x14ac:dyDescent="0.2">
      <c r="A61" s="40" t="s">
        <v>91</v>
      </c>
      <c r="B61" s="62" t="s">
        <v>68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35">
        <f>6*40*N6*30.5</f>
        <v>58560</v>
      </c>
    </row>
    <row r="62" spans="1:20" s="7" customFormat="1" ht="12.75" customHeight="1" x14ac:dyDescent="0.2">
      <c r="A62" s="41" t="s">
        <v>92</v>
      </c>
      <c r="B62" s="48" t="s">
        <v>60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9">
        <f>SUM(N59:N61)</f>
        <v>258560</v>
      </c>
      <c r="O62" s="6"/>
      <c r="P62" s="6"/>
      <c r="Q62" s="2"/>
      <c r="R62" s="2"/>
      <c r="S62" s="2"/>
      <c r="T62" s="2"/>
    </row>
    <row r="63" spans="1:20" s="7" customFormat="1" x14ac:dyDescent="0.2">
      <c r="A63" s="41" t="s">
        <v>93</v>
      </c>
      <c r="B63" s="44" t="s">
        <v>54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50"/>
      <c r="O63" s="6"/>
      <c r="P63" s="6"/>
      <c r="Q63" s="2"/>
      <c r="R63" s="2"/>
      <c r="S63" s="2"/>
      <c r="T63" s="2"/>
    </row>
    <row r="64" spans="1:20" x14ac:dyDescent="0.2">
      <c r="A64" s="40" t="s">
        <v>94</v>
      </c>
      <c r="B64" s="55" t="s">
        <v>57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34">
        <f>0.25*(SUM(N11:N19)+SUM(N26:N29))</f>
        <v>46329.861111111109</v>
      </c>
    </row>
    <row r="65" spans="1:20" x14ac:dyDescent="0.2">
      <c r="A65" s="40" t="s">
        <v>95</v>
      </c>
      <c r="B65" s="55" t="s">
        <v>53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13">
        <v>100000</v>
      </c>
    </row>
    <row r="66" spans="1:20" x14ac:dyDescent="0.2">
      <c r="A66" s="40" t="s">
        <v>96</v>
      </c>
      <c r="B66" s="55" t="s">
        <v>62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13"/>
    </row>
    <row r="67" spans="1:20" x14ac:dyDescent="0.2">
      <c r="A67" s="40" t="s">
        <v>97</v>
      </c>
      <c r="B67" s="55" t="s">
        <v>110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13"/>
    </row>
    <row r="68" spans="1:20" s="7" customFormat="1" ht="12.75" customHeight="1" thickBot="1" x14ac:dyDescent="0.25">
      <c r="A68" s="41" t="s">
        <v>111</v>
      </c>
      <c r="B68" s="48" t="s">
        <v>63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9">
        <f>SUM(N64:N67)</f>
        <v>146329.86111111112</v>
      </c>
      <c r="O68" s="6"/>
      <c r="P68" s="6"/>
      <c r="Q68" s="2"/>
      <c r="R68" s="2"/>
      <c r="S68" s="2"/>
      <c r="T68" s="2"/>
    </row>
    <row r="69" spans="1:20" s="27" customFormat="1" ht="15.75" thickBot="1" x14ac:dyDescent="0.3">
      <c r="A69" s="42" t="s">
        <v>98</v>
      </c>
      <c r="B69" s="86" t="s">
        <v>103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24">
        <f>N68+N62+N57+N33</f>
        <v>1635036.2876984128</v>
      </c>
      <c r="O69" s="25"/>
      <c r="P69" s="25"/>
      <c r="Q69" s="26"/>
      <c r="R69" s="26"/>
      <c r="S69" s="26"/>
      <c r="T69" s="26"/>
    </row>
    <row r="70" spans="1:20" s="7" customFormat="1" ht="12.75" customHeight="1" x14ac:dyDescent="0.2">
      <c r="A70" s="41" t="s">
        <v>99</v>
      </c>
      <c r="B70" s="44" t="s">
        <v>104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8">
        <f>N69*0.15</f>
        <v>245255.44315476192</v>
      </c>
      <c r="O70" s="6"/>
      <c r="P70" s="6"/>
      <c r="Q70" s="2"/>
      <c r="R70" s="2"/>
      <c r="S70" s="2"/>
      <c r="T70" s="2"/>
    </row>
    <row r="71" spans="1:20" s="7" customFormat="1" ht="12.75" customHeight="1" x14ac:dyDescent="0.2">
      <c r="A71" s="41" t="s">
        <v>100</v>
      </c>
      <c r="B71" s="44" t="s">
        <v>105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8">
        <f>N70+N69</f>
        <v>1880291.7308531748</v>
      </c>
      <c r="O71" s="6"/>
      <c r="P71" s="6"/>
      <c r="Q71" s="2"/>
      <c r="R71" s="2"/>
      <c r="S71" s="2"/>
      <c r="T71" s="2"/>
    </row>
    <row r="72" spans="1:20" s="7" customFormat="1" ht="12.75" customHeight="1" thickBot="1" x14ac:dyDescent="0.25">
      <c r="A72" s="41" t="s">
        <v>101</v>
      </c>
      <c r="B72" s="88" t="s">
        <v>106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28">
        <f>N71*0.05</f>
        <v>94014.586542658741</v>
      </c>
      <c r="O72" s="6"/>
      <c r="P72" s="6"/>
      <c r="Q72" s="2"/>
      <c r="R72" s="2"/>
      <c r="S72" s="2"/>
      <c r="T72" s="2"/>
    </row>
    <row r="73" spans="1:20" s="27" customFormat="1" ht="15.75" thickBot="1" x14ac:dyDescent="0.3">
      <c r="A73" s="42" t="s">
        <v>102</v>
      </c>
      <c r="B73" s="86" t="s">
        <v>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24">
        <f>N71+N72</f>
        <v>1974306.3173958336</v>
      </c>
      <c r="O73" s="25"/>
      <c r="P73" s="25"/>
      <c r="Q73" s="26"/>
      <c r="R73" s="26"/>
      <c r="S73" s="26"/>
      <c r="T73" s="26"/>
    </row>
    <row r="74" spans="1:20" x14ac:dyDescent="0.2">
      <c r="N74" s="39">
        <f>(N70+N72)/N73</f>
        <v>0.17184265010351965</v>
      </c>
    </row>
    <row r="75" spans="1:20" s="43" customFormat="1" x14ac:dyDescent="0.2">
      <c r="A75" s="40"/>
      <c r="B75" s="23" t="s">
        <v>116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s="43" customFormat="1" x14ac:dyDescent="0.2">
      <c r="A76" s="40"/>
      <c r="B76" s="23" t="s">
        <v>117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s="43" customFormat="1" x14ac:dyDescent="0.2">
      <c r="A77" s="40"/>
      <c r="B77" s="23" t="s">
        <v>118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s="43" customFormat="1" x14ac:dyDescent="0.2">
      <c r="A78" s="40"/>
      <c r="B78" s="23" t="s">
        <v>119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s="43" customFormat="1" x14ac:dyDescent="0.2">
      <c r="A79" s="40"/>
      <c r="B79" s="23" t="s">
        <v>120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</sheetData>
  <mergeCells count="118">
    <mergeCell ref="B73:M73"/>
    <mergeCell ref="B69:M69"/>
    <mergeCell ref="B70:M70"/>
    <mergeCell ref="B72:M72"/>
    <mergeCell ref="B6:D6"/>
    <mergeCell ref="H50:M50"/>
    <mergeCell ref="I30:J30"/>
    <mergeCell ref="I31:J31"/>
    <mergeCell ref="I32:J32"/>
    <mergeCell ref="B9:F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64:M64"/>
    <mergeCell ref="B65:M65"/>
    <mergeCell ref="B62:M62"/>
    <mergeCell ref="B8:N8"/>
    <mergeCell ref="B10:N10"/>
    <mergeCell ref="B2:C2"/>
    <mergeCell ref="D2:N2"/>
    <mergeCell ref="B4:D4"/>
    <mergeCell ref="B59:M59"/>
    <mergeCell ref="B60:M60"/>
    <mergeCell ref="H6:M6"/>
    <mergeCell ref="G4:L4"/>
    <mergeCell ref="I18:J18"/>
    <mergeCell ref="I19:J19"/>
    <mergeCell ref="I20:J20"/>
    <mergeCell ref="I21:J21"/>
    <mergeCell ref="I22:J22"/>
    <mergeCell ref="I23:J23"/>
    <mergeCell ref="M35:M36"/>
    <mergeCell ref="B20:F20"/>
    <mergeCell ref="B21:F21"/>
    <mergeCell ref="B22:F22"/>
    <mergeCell ref="I24:J24"/>
    <mergeCell ref="I26:J26"/>
    <mergeCell ref="I27:J27"/>
    <mergeCell ref="I28:J28"/>
    <mergeCell ref="I29:J29"/>
    <mergeCell ref="B24:F24"/>
    <mergeCell ref="B26:F26"/>
    <mergeCell ref="I9:J9"/>
    <mergeCell ref="I11:J11"/>
    <mergeCell ref="I12:J12"/>
    <mergeCell ref="I13:J13"/>
    <mergeCell ref="I14:J14"/>
    <mergeCell ref="B34:N34"/>
    <mergeCell ref="B33:M33"/>
    <mergeCell ref="D35:E35"/>
    <mergeCell ref="F35:G35"/>
    <mergeCell ref="H35:I35"/>
    <mergeCell ref="L35:L36"/>
    <mergeCell ref="I17:J17"/>
    <mergeCell ref="G20:H20"/>
    <mergeCell ref="G30:H30"/>
    <mergeCell ref="G24:H24"/>
    <mergeCell ref="B23:F23"/>
    <mergeCell ref="B25:N25"/>
    <mergeCell ref="G21:H21"/>
    <mergeCell ref="G22:H22"/>
    <mergeCell ref="G23:H23"/>
    <mergeCell ref="N35:N36"/>
    <mergeCell ref="B35:B36"/>
    <mergeCell ref="C35:C36"/>
    <mergeCell ref="B31:F31"/>
    <mergeCell ref="B66:M66"/>
    <mergeCell ref="B68:M68"/>
    <mergeCell ref="B27:F27"/>
    <mergeCell ref="B28:F28"/>
    <mergeCell ref="H43:M43"/>
    <mergeCell ref="J35:J36"/>
    <mergeCell ref="B37:N37"/>
    <mergeCell ref="B29:F29"/>
    <mergeCell ref="B30:F30"/>
    <mergeCell ref="B61:M61"/>
    <mergeCell ref="B63:N63"/>
    <mergeCell ref="B51:N51"/>
    <mergeCell ref="B52:M52"/>
    <mergeCell ref="B53:M53"/>
    <mergeCell ref="B54:M54"/>
    <mergeCell ref="B55:M55"/>
    <mergeCell ref="B43:F43"/>
    <mergeCell ref="B50:F50"/>
    <mergeCell ref="B44:N44"/>
    <mergeCell ref="B67:M67"/>
    <mergeCell ref="B32:F32"/>
    <mergeCell ref="K35:K36"/>
    <mergeCell ref="B71:M71"/>
    <mergeCell ref="B56:M56"/>
    <mergeCell ref="B57:M57"/>
    <mergeCell ref="B58:N58"/>
    <mergeCell ref="E4:F4"/>
    <mergeCell ref="E6:F6"/>
    <mergeCell ref="G9:H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G29:H29"/>
    <mergeCell ref="G32:H32"/>
    <mergeCell ref="G31:H31"/>
    <mergeCell ref="I15:J15"/>
    <mergeCell ref="I16:J16"/>
  </mergeCells>
  <dataValidations count="2">
    <dataValidation type="list" allowBlank="1" showInputMessage="1" showErrorMessage="1" sqref="N6">
      <formula1>"1, 2, 3, 4, 5, 6, 7, 8, 9, 10, 11, 12, 13, 14, 15, 16, 17, 18, 19, 20, 21, 22, 23, 24"</formula1>
    </dataValidation>
    <dataValidation type="list" allowBlank="1" showInputMessage="1" showErrorMessage="1" sqref="M4">
      <formula1>"1, 0,5, 0"</formula1>
    </dataValidation>
  </dataValidations>
  <pageMargins left="0.51181102362204722" right="0.31496062992125984" top="0.35433070866141736" bottom="0.35433070866141736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ТЗ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Агапова Марина</dc:creator>
  <cp:lastModifiedBy>Бутан Алексей</cp:lastModifiedBy>
  <cp:lastPrinted>2017-11-20T11:27:52Z</cp:lastPrinted>
  <dcterms:created xsi:type="dcterms:W3CDTF">2017-06-27T13:19:16Z</dcterms:created>
  <dcterms:modified xsi:type="dcterms:W3CDTF">2017-11-22T10:50:57Z</dcterms:modified>
</cp:coreProperties>
</file>